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sign Tool" sheetId="1" r:id="rId4"/>
    <sheet state="visible" name="Sheet1" sheetId="2" r:id="rId5"/>
  </sheets>
  <definedNames>
    <definedName name="d_">'Design Tool'!$E$5</definedName>
    <definedName name="k">'Design Tool'!$E$9</definedName>
    <definedName name="th">'Design Tool'!$E$7</definedName>
    <definedName name="w">'Design Tool'!$E$3</definedName>
    <definedName name="D_b">'Design Tool'!$I$4</definedName>
    <definedName name="D">'Design Tool'!$E$6</definedName>
    <definedName name="m_b">'Design Tool'!$I$2</definedName>
    <definedName name="I">'Design Tool'!$E$11</definedName>
    <definedName name="m_f">'Design Tool'!$E$8</definedName>
    <definedName name="w_b">'Design Tool'!$I$5</definedName>
    <definedName name="E_b">'Design Tool'!$I$7</definedName>
    <definedName name="v">'Design Tool'!$I$3</definedName>
    <definedName name="E_f">'Design Tool'!$E$12</definedName>
  </definedNames>
  <calcPr/>
  <extLst>
    <ext uri="GoogleSheetsCustomDataVersion1">
      <go:sheetsCustomData xmlns:go="http://customooxmlschemas.google.com/" r:id="rId6" roundtripDataSignature="AMtx7mjdv8WgbzZIaOa+AyI5xjNexZD2GA=="/>
    </ext>
  </extLst>
</workbook>
</file>

<file path=xl/sharedStrings.xml><?xml version="1.0" encoding="utf-8"?>
<sst xmlns="http://schemas.openxmlformats.org/spreadsheetml/2006/main" count="126" uniqueCount="98">
  <si>
    <t>Material</t>
  </si>
  <si>
    <t>Steel</t>
  </si>
  <si>
    <t>Bike Mass</t>
  </si>
  <si>
    <t>m_b</t>
  </si>
  <si>
    <t>kg</t>
  </si>
  <si>
    <t>29" wheel</t>
  </si>
  <si>
    <t>Test</t>
  </si>
  <si>
    <t>ER Fulfilled</t>
  </si>
  <si>
    <t>Description</t>
  </si>
  <si>
    <t>Goal</t>
  </si>
  <si>
    <t>Result</t>
  </si>
  <si>
    <t>Angular Velocity</t>
  </si>
  <si>
    <t>w</t>
  </si>
  <si>
    <t>rad/s</t>
  </si>
  <si>
    <t>Bike Speed</t>
  </si>
  <si>
    <t>v</t>
  </si>
  <si>
    <t>m/s</t>
  </si>
  <si>
    <t>26" wheel</t>
  </si>
  <si>
    <t>Energy Storage Efficiency</t>
  </si>
  <si>
    <t>1,2</t>
  </si>
  <si>
    <t>Tests the efficiency of the clutch system by gathering energy data from before and after engagement of the clutch</t>
  </si>
  <si>
    <t>600 J Stored
 15% Efficient</t>
  </si>
  <si>
    <t>___</t>
  </si>
  <si>
    <t>Density</t>
  </si>
  <si>
    <t>p</t>
  </si>
  <si>
    <t>kg/m^3</t>
  </si>
  <si>
    <t>Wheel Diameter</t>
  </si>
  <si>
    <t>D_b</t>
  </si>
  <si>
    <t>m</t>
  </si>
  <si>
    <t>Software/Sensor Check</t>
  </si>
  <si>
    <t>3,4,5</t>
  </si>
  <si>
    <t>Ensures that sensors are working properly and outputting correct data. Checked against data collected with a tachometer</t>
  </si>
  <si>
    <t>Metrics Displayed Correctly</t>
  </si>
  <si>
    <t>Inner Diameter</t>
  </si>
  <si>
    <t>d</t>
  </si>
  <si>
    <t>w_b</t>
  </si>
  <si>
    <t>Clutch Wear</t>
  </si>
  <si>
    <t>N/A</t>
  </si>
  <si>
    <t>Checks wear of the clutch plate by measuring it before and after testing. Ensures that the plate won't wear too much</t>
  </si>
  <si>
    <t>Max wear of 0.01 in/hr of engagement</t>
  </si>
  <si>
    <t>Outer Diameter</t>
  </si>
  <si>
    <t>D</t>
  </si>
  <si>
    <t>Thickness</t>
  </si>
  <si>
    <t>th</t>
  </si>
  <si>
    <t>Bike KE</t>
  </si>
  <si>
    <t>E_b</t>
  </si>
  <si>
    <t>Nm (J)</t>
  </si>
  <si>
    <t>Flywheel Mass</t>
  </si>
  <si>
    <t>m_f</t>
  </si>
  <si>
    <t>Inertial constant</t>
  </si>
  <si>
    <t>k</t>
  </si>
  <si>
    <t>-</t>
  </si>
  <si>
    <t>Input Values</t>
  </si>
  <si>
    <t>Final Speed</t>
  </si>
  <si>
    <t>Stagnant Values</t>
  </si>
  <si>
    <t>% Efficient -</t>
  </si>
  <si>
    <t>Moment of inertia</t>
  </si>
  <si>
    <t>I</t>
  </si>
  <si>
    <t>kg*m^2</t>
  </si>
  <si>
    <t>Calculated Values</t>
  </si>
  <si>
    <t>Flywheel KE</t>
  </si>
  <si>
    <t>E_f</t>
  </si>
  <si>
    <t>mph</t>
  </si>
  <si>
    <t>in</t>
  </si>
  <si>
    <t>5:1</t>
  </si>
  <si>
    <t>J</t>
  </si>
  <si>
    <t>?</t>
  </si>
  <si>
    <t>~1/2"</t>
  </si>
  <si>
    <t>300 N max force</t>
  </si>
  <si>
    <t>&lt;-- This is a guess</t>
  </si>
  <si>
    <t>N</t>
  </si>
  <si>
    <t>(26" wheel)</t>
  </si>
  <si>
    <t xml:space="preserve"> </t>
  </si>
  <si>
    <t>M.O.I. disk</t>
  </si>
  <si>
    <t>KE</t>
  </si>
  <si>
    <t>Momentum</t>
  </si>
  <si>
    <t>r</t>
  </si>
  <si>
    <t>I_d</t>
  </si>
  <si>
    <r>
      <rPr>
        <rFont val="Calibri"/>
        <color theme="1"/>
      </rPr>
      <t>KE_</t>
    </r>
    <r>
      <rPr>
        <rFont val="Calibri"/>
        <color theme="1"/>
        <sz val="10.0"/>
      </rPr>
      <t>d</t>
    </r>
  </si>
  <si>
    <t>KJ</t>
  </si>
  <si>
    <t>w_d</t>
  </si>
  <si>
    <t>Rad/s</t>
  </si>
  <si>
    <t>rev/s</t>
  </si>
  <si>
    <t>H</t>
  </si>
  <si>
    <t>KW</t>
  </si>
  <si>
    <t>rpm</t>
  </si>
  <si>
    <t>t</t>
  </si>
  <si>
    <t>s</t>
  </si>
  <si>
    <t>rho</t>
  </si>
  <si>
    <t>Volume</t>
  </si>
  <si>
    <t>v_d</t>
  </si>
  <si>
    <t>m^3</t>
  </si>
  <si>
    <t>h_d</t>
  </si>
  <si>
    <t>mm</t>
  </si>
  <si>
    <t>M.O.I hoop</t>
  </si>
  <si>
    <t>I_h</t>
  </si>
  <si>
    <r>
      <rPr>
        <rFont val="Calibri"/>
        <color theme="1"/>
      </rPr>
      <t>KE_</t>
    </r>
    <r>
      <rPr>
        <rFont val="Calibri"/>
        <color theme="1"/>
        <sz val="10.0"/>
      </rPr>
      <t>h</t>
    </r>
  </si>
  <si>
    <t>w_h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</si>
</sst>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"/>
    <numFmt numFmtId="165" formatCode="0.0"/>
    <numFmt numFmtId="166" formatCode="0.0%"/>
  </numFmts>
  <fonts count="9">
    <font>
      <sz val="11.0"/>
      <color theme="1"/>
      <name val="Arial"/>
    </font>
    <font>
      <b/>
      <sz val="11.0"/>
      <color theme="1"/>
      <name val="Calibri"/>
    </font>
    <font>
      <b/>
      <color theme="1"/>
      <name val="Calibri"/>
    </font>
    <font>
      <color theme="1"/>
      <name val="Calibri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000000"/>
      <name val="Calibri"/>
    </font>
    <font/>
    <font>
      <sz val="11.0"/>
      <color rgb="FF000000"/>
      <name val="Inconsolata"/>
    </font>
  </fonts>
  <fills count="8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</fills>
  <borders count="23">
    <border/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/>
      <right/>
      <top/>
      <bottom/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0" fontId="3" numFmtId="0" xfId="0" applyAlignment="1" applyBorder="1" applyFont="1">
      <alignment readingOrder="0"/>
    </xf>
    <xf borderId="2" fillId="0" fontId="3" numFmtId="0" xfId="0" applyBorder="1" applyFont="1"/>
    <xf borderId="3" fillId="2" fontId="3" numFmtId="0" xfId="0" applyAlignment="1" applyBorder="1" applyFill="1" applyFont="1">
      <alignment horizontal="center" readingOrder="0"/>
    </xf>
    <xf borderId="2" fillId="0" fontId="3" numFmtId="0" xfId="0" applyAlignment="1" applyBorder="1" applyFont="1">
      <alignment readingOrder="0"/>
    </xf>
    <xf borderId="3" fillId="3" fontId="3" numFmtId="0" xfId="0" applyAlignment="1" applyBorder="1" applyFill="1" applyFont="1">
      <alignment horizontal="center" readingOrder="0"/>
    </xf>
    <xf borderId="0" fillId="0" fontId="3" numFmtId="0" xfId="0" applyAlignment="1" applyFont="1">
      <alignment readingOrder="0"/>
    </xf>
    <xf borderId="4" fillId="0" fontId="4" numFmtId="0" xfId="0" applyAlignment="1" applyBorder="1" applyFont="1">
      <alignment horizontal="center" readingOrder="0" shrinkToFit="0" wrapText="0"/>
    </xf>
    <xf borderId="5" fillId="0" fontId="4" numFmtId="0" xfId="0" applyAlignment="1" applyBorder="1" applyFont="1">
      <alignment horizontal="center" readingOrder="0" shrinkToFit="0" wrapText="0"/>
    </xf>
    <xf borderId="6" fillId="0" fontId="5" numFmtId="0" xfId="0" applyAlignment="1" applyBorder="1" applyFont="1">
      <alignment readingOrder="0"/>
    </xf>
    <xf borderId="4" fillId="0" fontId="3" numFmtId="0" xfId="0" applyAlignment="1" applyBorder="1" applyFont="1">
      <alignment readingOrder="0"/>
    </xf>
    <xf borderId="7" fillId="4" fontId="3" numFmtId="2" xfId="0" applyAlignment="1" applyBorder="1" applyFill="1" applyFont="1" applyNumberFormat="1">
      <alignment horizontal="center"/>
    </xf>
    <xf borderId="6" fillId="0" fontId="3" numFmtId="0" xfId="0" applyAlignment="1" applyBorder="1" applyFont="1">
      <alignment readingOrder="0"/>
    </xf>
    <xf borderId="7" fillId="2" fontId="3" numFmtId="2" xfId="0" applyAlignment="1" applyBorder="1" applyFont="1" applyNumberFormat="1">
      <alignment horizontal="center" readingOrder="0"/>
    </xf>
    <xf borderId="8" fillId="0" fontId="4" numFmtId="0" xfId="0" applyAlignment="1" applyBorder="1" applyFont="1">
      <alignment horizontal="center" readingOrder="0"/>
    </xf>
    <xf borderId="9" fillId="0" fontId="6" numFmtId="0" xfId="0" applyAlignment="1" applyBorder="1" applyFont="1">
      <alignment horizontal="center" readingOrder="0" shrinkToFit="0" wrapText="0"/>
    </xf>
    <xf borderId="9" fillId="0" fontId="6" numFmtId="0" xfId="0" applyAlignment="1" applyBorder="1" applyFont="1">
      <alignment horizontal="left" readingOrder="0"/>
    </xf>
    <xf borderId="9" fillId="0" fontId="6" numFmtId="0" xfId="0" applyAlignment="1" applyBorder="1" applyFont="1">
      <alignment horizontal="center" readingOrder="0"/>
    </xf>
    <xf borderId="7" fillId="2" fontId="3" numFmtId="0" xfId="0" applyAlignment="1" applyBorder="1" applyFont="1">
      <alignment horizontal="center" readingOrder="0"/>
    </xf>
    <xf borderId="7" fillId="3" fontId="3" numFmtId="0" xfId="0" applyAlignment="1" applyBorder="1" applyFont="1">
      <alignment horizontal="center" readingOrder="0"/>
    </xf>
    <xf borderId="8" fillId="0" fontId="4" numFmtId="0" xfId="0" applyAlignment="1" applyBorder="1" applyFont="1">
      <alignment horizontal="center" readingOrder="0" shrinkToFit="0" wrapText="0"/>
    </xf>
    <xf borderId="7" fillId="2" fontId="3" numFmtId="164" xfId="0" applyAlignment="1" applyBorder="1" applyFont="1" applyNumberFormat="1">
      <alignment horizontal="center" readingOrder="0"/>
    </xf>
    <xf borderId="6" fillId="0" fontId="3" numFmtId="0" xfId="0" applyBorder="1" applyFont="1"/>
    <xf borderId="4" fillId="0" fontId="3" numFmtId="0" xfId="0" applyBorder="1" applyFont="1"/>
    <xf borderId="7" fillId="0" fontId="3" numFmtId="0" xfId="0" applyAlignment="1" applyBorder="1" applyFont="1">
      <alignment horizontal="center"/>
    </xf>
    <xf borderId="10" fillId="0" fontId="3" numFmtId="0" xfId="0" applyAlignment="1" applyBorder="1" applyFont="1">
      <alignment readingOrder="0"/>
    </xf>
    <xf borderId="11" fillId="0" fontId="3" numFmtId="0" xfId="0" applyAlignment="1" applyBorder="1" applyFont="1">
      <alignment readingOrder="0"/>
    </xf>
    <xf borderId="12" fillId="4" fontId="3" numFmtId="165" xfId="0" applyAlignment="1" applyBorder="1" applyFont="1" applyNumberFormat="1">
      <alignment horizontal="center"/>
    </xf>
    <xf borderId="4" fillId="0" fontId="1" numFmtId="0" xfId="0" applyAlignment="1" applyBorder="1" applyFont="1">
      <alignment readingOrder="0"/>
    </xf>
    <xf borderId="13" fillId="2" fontId="3" numFmtId="0" xfId="0" applyAlignment="1" applyBorder="1" applyFont="1">
      <alignment readingOrder="0"/>
    </xf>
    <xf borderId="14" fillId="0" fontId="1" numFmtId="0" xfId="0" applyAlignment="1" applyBorder="1" applyFont="1">
      <alignment horizontal="center" readingOrder="0"/>
    </xf>
    <xf borderId="15" fillId="0" fontId="7" numFmtId="0" xfId="0" applyBorder="1" applyFont="1"/>
    <xf borderId="4" fillId="0" fontId="3" numFmtId="0" xfId="0" applyBorder="1" applyFont="1"/>
    <xf borderId="7" fillId="0" fontId="3" numFmtId="0" xfId="0" applyAlignment="1" applyBorder="1" applyFont="1">
      <alignment horizontal="center"/>
    </xf>
    <xf borderId="16" fillId="3" fontId="3" numFmtId="0" xfId="0" applyAlignment="1" applyBorder="1" applyFont="1">
      <alignment readingOrder="0"/>
    </xf>
    <xf borderId="17" fillId="0" fontId="2" numFmtId="0" xfId="0" applyAlignment="1" applyBorder="1" applyFont="1">
      <alignment horizontal="center" readingOrder="0"/>
    </xf>
    <xf borderId="18" fillId="0" fontId="2" numFmtId="10" xfId="0" applyAlignment="1" applyBorder="1" applyFont="1" applyNumberFormat="1">
      <alignment horizontal="center" readingOrder="0"/>
    </xf>
    <xf borderId="7" fillId="4" fontId="3" numFmtId="164" xfId="0" applyAlignment="1" applyBorder="1" applyFont="1" applyNumberFormat="1">
      <alignment horizontal="center"/>
    </xf>
    <xf borderId="19" fillId="4" fontId="3" numFmtId="0" xfId="0" applyAlignment="1" applyBorder="1" applyFont="1">
      <alignment readingOrder="0"/>
    </xf>
    <xf borderId="20" fillId="0" fontId="3" numFmtId="2" xfId="0" applyBorder="1" applyFont="1" applyNumberFormat="1"/>
    <xf borderId="21" fillId="0" fontId="3" numFmtId="0" xfId="0" applyAlignment="1" applyBorder="1" applyFont="1">
      <alignment readingOrder="0"/>
    </xf>
    <xf borderId="17" fillId="0" fontId="5" numFmtId="2" xfId="0" applyBorder="1" applyFont="1" applyNumberFormat="1"/>
    <xf borderId="18" fillId="0" fontId="3" numFmtId="0" xfId="0" applyAlignment="1" applyBorder="1" applyFont="1">
      <alignment readingOrder="0"/>
    </xf>
    <xf borderId="0" fillId="0" fontId="2" numFmtId="0" xfId="0" applyAlignment="1" applyFont="1">
      <alignment horizontal="center" readingOrder="0" shrinkToFit="0" wrapText="1"/>
    </xf>
    <xf borderId="0" fillId="0" fontId="3" numFmtId="166" xfId="0" applyFont="1" applyNumberFormat="1"/>
    <xf borderId="0" fillId="0" fontId="3" numFmtId="1" xfId="0" applyFont="1" applyNumberFormat="1"/>
    <xf borderId="0" fillId="0" fontId="3" numFmtId="165" xfId="0" applyFont="1" applyNumberFormat="1"/>
    <xf borderId="0" fillId="5" fontId="8" numFmtId="164" xfId="0" applyFill="1" applyFont="1" applyNumberFormat="1"/>
    <xf borderId="0" fillId="0" fontId="3" numFmtId="2" xfId="0" applyFont="1" applyNumberFormat="1"/>
    <xf borderId="0" fillId="0" fontId="5" numFmtId="0" xfId="0" applyAlignment="1" applyFont="1">
      <alignment readingOrder="0"/>
    </xf>
    <xf borderId="0" fillId="0" fontId="3" numFmtId="166" xfId="0" applyAlignment="1" applyFont="1" applyNumberFormat="1">
      <alignment horizontal="center" readingOrder="0" shrinkToFit="0" wrapText="1"/>
    </xf>
    <xf borderId="22" fillId="6" fontId="5" numFmtId="0" xfId="0" applyBorder="1" applyFill="1" applyFont="1"/>
    <xf borderId="22" fillId="7" fontId="5" numFmtId="0" xfId="0" applyBorder="1" applyFill="1" applyFont="1"/>
    <xf borderId="0" fillId="5" fontId="8" numFmtId="0" xfId="0" applyAlignment="1" applyFont="1">
      <alignment horizontal="left"/>
    </xf>
    <xf borderId="0" fillId="7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2" width="14.75"/>
    <col customWidth="1" min="3" max="3" width="3.88"/>
    <col customWidth="1" min="4" max="4" width="6.88"/>
    <col customWidth="1" min="5" max="5" width="7.13"/>
    <col customWidth="1" min="6" max="6" width="14.25"/>
    <col customWidth="1" min="7" max="7" width="4.38"/>
    <col customWidth="1" min="8" max="8" width="10.0"/>
    <col customWidth="1" min="9" max="10" width="6.25"/>
    <col customWidth="1" min="11" max="11" width="9.63"/>
    <col customWidth="1" min="12" max="13" width="14.25"/>
    <col customWidth="1" min="14" max="14" width="7.5"/>
    <col customWidth="1" min="15" max="15" width="7.63"/>
    <col customWidth="1" min="16" max="16" width="8.5"/>
    <col customWidth="1" min="17" max="17" width="7.63"/>
    <col customWidth="1" min="18" max="18" width="14.75"/>
    <col customWidth="1" min="19" max="19" width="3.88"/>
    <col customWidth="1" min="20" max="20" width="6.88"/>
    <col customWidth="1" min="21" max="21" width="7.63"/>
    <col customWidth="1" min="22" max="22" width="9.0"/>
    <col customWidth="1" min="23" max="23" width="13.38"/>
    <col customWidth="1" min="24" max="24" width="4.38"/>
    <col customWidth="1" min="25" max="25" width="7.25"/>
    <col customWidth="1" min="26" max="26" width="6.25"/>
    <col customWidth="1" min="27" max="27" width="7.63"/>
    <col customWidth="1" min="28" max="28" width="3.25"/>
    <col customWidth="1" min="29" max="29" width="14.25"/>
    <col customWidth="1" min="30" max="30" width="7.63"/>
  </cols>
  <sheetData>
    <row r="1">
      <c r="A1" s="1"/>
      <c r="D1" s="1"/>
      <c r="G1" s="1"/>
      <c r="I1" s="1"/>
      <c r="J1" s="1"/>
      <c r="N1" s="2"/>
    </row>
    <row r="2">
      <c r="A2" s="3"/>
      <c r="B2" s="4" t="s">
        <v>0</v>
      </c>
      <c r="C2" s="5"/>
      <c r="D2" s="5"/>
      <c r="E2" s="6" t="s">
        <v>1</v>
      </c>
      <c r="F2" s="4" t="s">
        <v>2</v>
      </c>
      <c r="G2" s="7" t="s">
        <v>3</v>
      </c>
      <c r="H2" s="7" t="s">
        <v>4</v>
      </c>
      <c r="I2" s="8">
        <v>35.0</v>
      </c>
      <c r="O2" s="9">
        <v>0.7366</v>
      </c>
      <c r="P2" s="9" t="s">
        <v>5</v>
      </c>
      <c r="R2" s="10" t="s">
        <v>6</v>
      </c>
      <c r="S2" s="11" t="s">
        <v>7</v>
      </c>
      <c r="T2" s="11" t="s">
        <v>8</v>
      </c>
      <c r="U2" s="11" t="s">
        <v>9</v>
      </c>
      <c r="V2" s="11" t="s">
        <v>10</v>
      </c>
    </row>
    <row r="3" ht="15.75" customHeight="1">
      <c r="A3" s="3"/>
      <c r="B3" s="12" t="s">
        <v>11</v>
      </c>
      <c r="C3" s="13" t="s">
        <v>12</v>
      </c>
      <c r="D3" s="13" t="s">
        <v>13</v>
      </c>
      <c r="E3" s="14">
        <f>5*w_b</f>
        <v>136.2810418</v>
      </c>
      <c r="F3" s="15" t="s">
        <v>14</v>
      </c>
      <c r="G3" s="13" t="s">
        <v>15</v>
      </c>
      <c r="H3" s="13" t="s">
        <v>16</v>
      </c>
      <c r="I3" s="16">
        <v>9.0</v>
      </c>
      <c r="O3" s="9">
        <v>0.6604</v>
      </c>
      <c r="P3" s="9" t="s">
        <v>17</v>
      </c>
      <c r="R3" s="17" t="s">
        <v>18</v>
      </c>
      <c r="S3" s="18" t="s">
        <v>19</v>
      </c>
      <c r="T3" s="19" t="s">
        <v>20</v>
      </c>
      <c r="U3" s="20" t="s">
        <v>21</v>
      </c>
      <c r="V3" s="18" t="s">
        <v>22</v>
      </c>
    </row>
    <row r="4">
      <c r="A4" s="3"/>
      <c r="B4" s="12" t="s">
        <v>23</v>
      </c>
      <c r="C4" s="13" t="s">
        <v>24</v>
      </c>
      <c r="D4" s="13" t="s">
        <v>25</v>
      </c>
      <c r="E4" s="21">
        <v>8000.0</v>
      </c>
      <c r="F4" s="15" t="s">
        <v>26</v>
      </c>
      <c r="G4" s="13" t="s">
        <v>27</v>
      </c>
      <c r="H4" s="13" t="s">
        <v>28</v>
      </c>
      <c r="I4" s="22">
        <v>0.6604</v>
      </c>
      <c r="R4" s="17" t="s">
        <v>29</v>
      </c>
      <c r="S4" s="18" t="s">
        <v>30</v>
      </c>
      <c r="T4" s="19" t="s">
        <v>31</v>
      </c>
      <c r="U4" s="20" t="s">
        <v>32</v>
      </c>
      <c r="V4" s="18" t="s">
        <v>22</v>
      </c>
    </row>
    <row r="5">
      <c r="A5" s="3"/>
      <c r="B5" s="12" t="s">
        <v>33</v>
      </c>
      <c r="C5" s="13" t="s">
        <v>34</v>
      </c>
      <c r="D5" s="13" t="s">
        <v>28</v>
      </c>
      <c r="E5" s="21">
        <v>0.0127</v>
      </c>
      <c r="F5" s="15" t="s">
        <v>11</v>
      </c>
      <c r="G5" s="13" t="s">
        <v>35</v>
      </c>
      <c r="H5" s="13" t="s">
        <v>13</v>
      </c>
      <c r="I5" s="14">
        <f>v/(D_b/2)</f>
        <v>27.25620836</v>
      </c>
      <c r="R5" s="23" t="s">
        <v>36</v>
      </c>
      <c r="S5" s="18" t="s">
        <v>37</v>
      </c>
      <c r="T5" s="19" t="s">
        <v>38</v>
      </c>
      <c r="U5" s="20" t="s">
        <v>39</v>
      </c>
      <c r="V5" s="18" t="s">
        <v>22</v>
      </c>
    </row>
    <row r="6">
      <c r="A6" s="3"/>
      <c r="B6" s="15" t="s">
        <v>40</v>
      </c>
      <c r="C6" s="13" t="s">
        <v>41</v>
      </c>
      <c r="D6" s="13" t="s">
        <v>28</v>
      </c>
      <c r="E6" s="24">
        <f>F18/39.37</f>
        <v>0.254000508</v>
      </c>
      <c r="F6" s="25"/>
      <c r="G6" s="26"/>
      <c r="H6" s="26"/>
      <c r="I6" s="27"/>
    </row>
    <row r="7">
      <c r="B7" s="12" t="s">
        <v>42</v>
      </c>
      <c r="C7" s="13" t="s">
        <v>43</v>
      </c>
      <c r="D7" s="13" t="s">
        <v>28</v>
      </c>
      <c r="E7" s="21">
        <v>0.0254</v>
      </c>
      <c r="F7" s="28" t="s">
        <v>44</v>
      </c>
      <c r="G7" s="29" t="s">
        <v>45</v>
      </c>
      <c r="H7" s="29" t="s">
        <v>46</v>
      </c>
      <c r="I7" s="30">
        <f>m_b*v^2</f>
        <v>2835</v>
      </c>
    </row>
    <row r="8">
      <c r="B8" s="15" t="s">
        <v>47</v>
      </c>
      <c r="C8" s="13" t="s">
        <v>48</v>
      </c>
      <c r="D8" s="13" t="s">
        <v>4</v>
      </c>
      <c r="E8" s="14">
        <f>E4*(pi()*(D^2-d_^2)/4)*th</f>
        <v>10.27059642</v>
      </c>
    </row>
    <row r="9">
      <c r="B9" s="15" t="s">
        <v>49</v>
      </c>
      <c r="C9" s="13" t="s">
        <v>50</v>
      </c>
      <c r="D9" s="31" t="s">
        <v>51</v>
      </c>
      <c r="E9" s="21">
        <v>0.5</v>
      </c>
      <c r="F9" s="32" t="s">
        <v>52</v>
      </c>
      <c r="G9" s="3"/>
      <c r="H9" s="33" t="s">
        <v>53</v>
      </c>
      <c r="I9" s="34"/>
    </row>
    <row r="10">
      <c r="B10" s="25"/>
      <c r="C10" s="26"/>
      <c r="D10" s="35"/>
      <c r="E10" s="36"/>
      <c r="F10" s="37" t="s">
        <v>54</v>
      </c>
      <c r="H10" s="38" t="s">
        <v>55</v>
      </c>
      <c r="I10" s="39">
        <f>I15/I7</f>
        <v>0.1356540245</v>
      </c>
    </row>
    <row r="11">
      <c r="B11" s="15" t="s">
        <v>56</v>
      </c>
      <c r="C11" s="13" t="s">
        <v>57</v>
      </c>
      <c r="D11" s="13" t="s">
        <v>58</v>
      </c>
      <c r="E11" s="40">
        <f>k*m_f*(D/2)^2</f>
        <v>0.08282755614</v>
      </c>
      <c r="F11" s="41" t="s">
        <v>59</v>
      </c>
      <c r="H11" s="42">
        <f>sqrt((0.5*E12)/I2)</f>
        <v>3.314811606</v>
      </c>
      <c r="I11" s="43" t="s">
        <v>16</v>
      </c>
    </row>
    <row r="12">
      <c r="B12" s="28" t="s">
        <v>60</v>
      </c>
      <c r="C12" s="29" t="s">
        <v>61</v>
      </c>
      <c r="D12" s="29" t="s">
        <v>46</v>
      </c>
      <c r="E12" s="30">
        <f>0.5*I*w^2</f>
        <v>769.1583189</v>
      </c>
      <c r="H12" s="44">
        <f>H11*2.237</f>
        <v>7.415233563</v>
      </c>
      <c r="I12" s="45" t="s">
        <v>62</v>
      </c>
    </row>
    <row r="13">
      <c r="D13" s="9"/>
      <c r="G13" s="1"/>
      <c r="N13" s="2"/>
    </row>
    <row r="14">
      <c r="D14" s="46"/>
      <c r="F14" s="47">
        <f>E3/(I5*5)</f>
        <v>1</v>
      </c>
      <c r="G14" s="3"/>
      <c r="H14" s="3"/>
      <c r="I14" s="3"/>
      <c r="L14" s="3"/>
      <c r="N14" s="3"/>
    </row>
    <row r="15">
      <c r="C15" s="9" t="s">
        <v>63</v>
      </c>
      <c r="D15" s="9">
        <v>11.0</v>
      </c>
      <c r="E15" s="48"/>
      <c r="F15" s="9" t="s">
        <v>64</v>
      </c>
      <c r="I15" s="49">
        <f>I2*H11^2</f>
        <v>384.5791595</v>
      </c>
      <c r="J15" s="9" t="s">
        <v>65</v>
      </c>
      <c r="L15" s="50">
        <f>sqrt((E12)/I2)</f>
        <v>4.68785153</v>
      </c>
      <c r="M15" s="9" t="s">
        <v>16</v>
      </c>
    </row>
    <row r="16">
      <c r="F16" s="9" t="s">
        <v>66</v>
      </c>
      <c r="I16" s="47">
        <f>I15/I7</f>
        <v>0.1356540245</v>
      </c>
      <c r="L16" s="44">
        <f>0.5*I2*L15^2</f>
        <v>384.5791595</v>
      </c>
      <c r="M16" s="9" t="s">
        <v>65</v>
      </c>
    </row>
    <row r="17">
      <c r="F17" s="9" t="s">
        <v>67</v>
      </c>
    </row>
    <row r="18">
      <c r="D18" s="9" t="s">
        <v>68</v>
      </c>
      <c r="F18" s="9">
        <v>10.0</v>
      </c>
      <c r="K18" s="9" t="s">
        <v>69</v>
      </c>
      <c r="L18" s="3"/>
    </row>
    <row r="19">
      <c r="D19" s="49">
        <f>E8*9.81</f>
        <v>100.7545509</v>
      </c>
      <c r="E19" s="9" t="s">
        <v>70</v>
      </c>
      <c r="F19" s="9"/>
      <c r="K19" s="9">
        <f>I3*2.237</f>
        <v>20.133</v>
      </c>
      <c r="L19" s="9" t="s">
        <v>62</v>
      </c>
    </row>
    <row r="20">
      <c r="D20" s="51">
        <f>(300-D19)/9.81</f>
        <v>20.31044333</v>
      </c>
      <c r="E20" s="9" t="s">
        <v>4</v>
      </c>
      <c r="K20" s="52" t="s">
        <v>71</v>
      </c>
      <c r="L20" s="3"/>
    </row>
    <row r="21" ht="15.75" customHeight="1">
      <c r="F21" s="3"/>
    </row>
    <row r="22" ht="15.75" customHeight="1"/>
    <row r="23" ht="15.75" customHeight="1"/>
    <row r="24" ht="15.75" customHeight="1">
      <c r="F24" s="53">
        <f>E12/I7</f>
        <v>0.271308049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9:I9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7.63"/>
    <col customWidth="1" min="4" max="4" width="9.25"/>
    <col customWidth="1" min="5" max="7" width="7.63"/>
    <col customWidth="1" min="8" max="8" width="8.38"/>
    <col customWidth="1" min="10" max="10" width="13.75"/>
    <col customWidth="1" min="11" max="13" width="7.63"/>
    <col customWidth="1" min="14" max="14" width="10.75"/>
    <col customWidth="1" min="15" max="26" width="7.63"/>
  </cols>
  <sheetData>
    <row r="1">
      <c r="A1" s="1" t="s">
        <v>72</v>
      </c>
      <c r="D1" s="1" t="s">
        <v>73</v>
      </c>
      <c r="G1" s="1" t="s">
        <v>74</v>
      </c>
      <c r="I1" s="1"/>
      <c r="J1" s="1" t="s">
        <v>11</v>
      </c>
      <c r="N1" s="2" t="s">
        <v>75</v>
      </c>
    </row>
    <row r="2">
      <c r="A2" s="3" t="s">
        <v>76</v>
      </c>
      <c r="B2" s="54">
        <v>0.1</v>
      </c>
      <c r="C2" s="3" t="s">
        <v>28</v>
      </c>
      <c r="D2" s="3" t="s">
        <v>77</v>
      </c>
      <c r="E2" s="3">
        <f>0.5*($B$3)*($B$2^2)</f>
        <v>0.015</v>
      </c>
      <c r="G2" s="9" t="s">
        <v>78</v>
      </c>
      <c r="H2" s="3">
        <f>$B$4*$B$5</f>
        <v>11.184</v>
      </c>
      <c r="I2" s="3" t="s">
        <v>79</v>
      </c>
      <c r="J2" s="3" t="s">
        <v>80</v>
      </c>
      <c r="K2" s="3">
        <f>SQRT(($H$2/(0.5*$E$2)))</f>
        <v>38.61605884</v>
      </c>
      <c r="L2" s="3" t="s">
        <v>81</v>
      </c>
      <c r="N2" s="3">
        <f>K2*B3</f>
        <v>115.8481765</v>
      </c>
    </row>
    <row r="3">
      <c r="A3" s="3" t="s">
        <v>28</v>
      </c>
      <c r="B3" s="54">
        <v>3.0</v>
      </c>
      <c r="C3" s="3" t="s">
        <v>4</v>
      </c>
      <c r="K3" s="3">
        <f>$K$2/(2*PI())</f>
        <v>6.145936646</v>
      </c>
      <c r="L3" s="3" t="s">
        <v>82</v>
      </c>
    </row>
    <row r="4">
      <c r="A4" s="3" t="s">
        <v>83</v>
      </c>
      <c r="B4" s="54">
        <v>3.728</v>
      </c>
      <c r="C4" s="3" t="s">
        <v>84</v>
      </c>
      <c r="K4" s="55">
        <f>$K$3*60</f>
        <v>368.7561988</v>
      </c>
      <c r="L4" s="3" t="s">
        <v>85</v>
      </c>
    </row>
    <row r="5">
      <c r="A5" s="3" t="s">
        <v>86</v>
      </c>
      <c r="B5" s="54">
        <v>3.0</v>
      </c>
      <c r="C5" s="3" t="s">
        <v>87</v>
      </c>
    </row>
    <row r="6">
      <c r="A6" s="3" t="s">
        <v>88</v>
      </c>
      <c r="B6" s="54">
        <v>7700.0</v>
      </c>
      <c r="C6" s="3" t="s">
        <v>25</v>
      </c>
    </row>
    <row r="8">
      <c r="D8" s="1" t="s">
        <v>89</v>
      </c>
      <c r="H8" s="1" t="s">
        <v>42</v>
      </c>
    </row>
    <row r="9">
      <c r="D9" s="3" t="s">
        <v>90</v>
      </c>
      <c r="E9" s="3">
        <f>$B$3/$B$6</f>
        <v>0.0003896103896</v>
      </c>
      <c r="F9" s="3" t="s">
        <v>91</v>
      </c>
      <c r="H9" s="3" t="s">
        <v>92</v>
      </c>
      <c r="I9" s="3">
        <f>$E$9/(PI()*($B$2)^2)</f>
        <v>0.01240168388</v>
      </c>
      <c r="J9" s="3" t="s">
        <v>28</v>
      </c>
    </row>
    <row r="10">
      <c r="I10" s="55">
        <f>$I$9*1000</f>
        <v>12.40168388</v>
      </c>
      <c r="J10" s="3" t="s">
        <v>93</v>
      </c>
    </row>
    <row r="13">
      <c r="D13" s="2" t="s">
        <v>94</v>
      </c>
      <c r="G13" s="1" t="s">
        <v>74</v>
      </c>
      <c r="J13" s="1" t="s">
        <v>11</v>
      </c>
      <c r="N13" s="2" t="s">
        <v>75</v>
      </c>
    </row>
    <row r="14">
      <c r="D14" s="3" t="s">
        <v>95</v>
      </c>
      <c r="E14" s="3">
        <f>B3*B2^2</f>
        <v>0.03</v>
      </c>
      <c r="G14" s="3" t="s">
        <v>96</v>
      </c>
      <c r="H14" s="3">
        <f>$B$4*$B$5</f>
        <v>11.184</v>
      </c>
      <c r="I14" s="3" t="s">
        <v>79</v>
      </c>
      <c r="J14" s="3" t="s">
        <v>97</v>
      </c>
      <c r="K14" s="56">
        <f>SQRT(($H$14/(0.5*$E$14)))</f>
        <v>27.30567707</v>
      </c>
      <c r="L14" s="3" t="s">
        <v>81</v>
      </c>
      <c r="N14" s="3">
        <f>K14*B3</f>
        <v>81.9170312</v>
      </c>
    </row>
    <row r="15">
      <c r="K15" s="3">
        <f>K14/(2*PI())</f>
        <v>4.345833479</v>
      </c>
      <c r="L15" s="3" t="s">
        <v>82</v>
      </c>
    </row>
    <row r="16">
      <c r="K16" s="57">
        <f>K15*60</f>
        <v>260.7500088</v>
      </c>
      <c r="L16" s="3" t="s"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2021-07-07T00:38:57Z</dcterms:created>
  <dc:creator>Daniel Schroeder Quezada</dc:creator>
</cp:coreProperties>
</file>